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68" yWindow="252" windowWidth="14448" windowHeight="11016" activeTab="0"/>
  </bookViews>
  <sheets>
    <sheet name="R41" sheetId="1" r:id="rId1"/>
  </sheets>
  <definedNames>
    <definedName name="_xlnm.Print_Area" localSheetId="0">'R41'!$A$2:$L$32</definedName>
    <definedName name="Z_D4B53CD2_EB1F_4BED_BBFA_D9E75A673882_.wvu.Cols" localSheetId="0" hidden="1">'R41'!$M:$X</definedName>
    <definedName name="Z_D4B53CD2_EB1F_4BED_BBFA_D9E75A673882_.wvu.PrintArea" localSheetId="0" hidden="1">'R41'!$A$2:$X$28</definedName>
  </definedNames>
  <calcPr fullCalcOnLoad="1"/>
</workbook>
</file>

<file path=xl/sharedStrings.xml><?xml version="1.0" encoding="utf-8"?>
<sst xmlns="http://schemas.openxmlformats.org/spreadsheetml/2006/main" count="154" uniqueCount="82">
  <si>
    <t>S</t>
  </si>
  <si>
    <t>D</t>
  </si>
  <si>
    <t>ØN</t>
  </si>
  <si>
    <t>Q</t>
  </si>
  <si>
    <t>NR</t>
  </si>
  <si>
    <t>n</t>
  </si>
  <si>
    <t>ØN [mm]</t>
  </si>
  <si>
    <t>[mm]</t>
  </si>
  <si>
    <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/h]</t>
    </r>
  </si>
  <si>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</si>
  <si>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[m/s]</t>
  </si>
  <si>
    <r>
      <t>v</t>
    </r>
    <r>
      <rPr>
        <b/>
        <vertAlign val="subscript"/>
        <sz val="10"/>
        <rFont val="Arial"/>
        <family val="2"/>
      </rPr>
      <t>K</t>
    </r>
  </si>
  <si>
    <t>[Pa]</t>
  </si>
  <si>
    <r>
      <t>S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</si>
  <si>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r>
      <t>D</t>
    </r>
    <r>
      <rPr>
        <b/>
        <sz val="10"/>
        <rFont val="Arial"/>
        <family val="2"/>
      </rPr>
      <t>p</t>
    </r>
  </si>
  <si>
    <t>[m]</t>
  </si>
  <si>
    <t>Salto termico</t>
  </si>
  <si>
    <t>[°C]</t>
  </si>
  <si>
    <r>
      <t>D</t>
    </r>
    <r>
      <rPr>
        <b/>
        <sz val="10"/>
        <rFont val="Arial"/>
        <family val="2"/>
      </rPr>
      <t>T</t>
    </r>
  </si>
  <si>
    <t>Diffusione isoterma</t>
  </si>
  <si>
    <t>Riscaldamento</t>
  </si>
  <si>
    <t>Raffreddamento</t>
  </si>
  <si>
    <t>+5</t>
  </si>
  <si>
    <t>+10</t>
  </si>
  <si>
    <t>H</t>
  </si>
  <si>
    <r>
      <t>v</t>
    </r>
    <r>
      <rPr>
        <b/>
        <vertAlign val="subscript"/>
        <sz val="10"/>
        <rFont val="Arial"/>
        <family val="2"/>
      </rPr>
      <t>1,8</t>
    </r>
  </si>
  <si>
    <t>ver.</t>
  </si>
  <si>
    <t>diametro nominale</t>
  </si>
  <si>
    <t>portata aria immessa</t>
  </si>
  <si>
    <t>salto termico</t>
  </si>
  <si>
    <t>altezza di installazione</t>
  </si>
  <si>
    <t>superficie libera</t>
  </si>
  <si>
    <t>velocità frontale</t>
  </si>
  <si>
    <t>perdite di carico</t>
  </si>
  <si>
    <t xml:space="preserve"> indice di rumorosità</t>
  </si>
  <si>
    <t>velocità terminale a 1,8 m da terra</t>
  </si>
  <si>
    <t>R41 - Diffusori circolari ad effetto elicoidale a pale regolabili</t>
  </si>
  <si>
    <t>a</t>
  </si>
  <si>
    <t>angolo di inclinazione delle pale</t>
  </si>
  <si>
    <t>c1</t>
  </si>
  <si>
    <t>c2</t>
  </si>
  <si>
    <t>c3</t>
  </si>
  <si>
    <t>p1</t>
  </si>
  <si>
    <t>p2</t>
  </si>
  <si>
    <t>Q1</t>
  </si>
  <si>
    <r>
      <t>a</t>
    </r>
    <r>
      <rPr>
        <b/>
        <sz val="10"/>
        <rFont val="Arial"/>
        <family val="2"/>
      </rPr>
      <t>1</t>
    </r>
  </si>
  <si>
    <t>Q2</t>
  </si>
  <si>
    <r>
      <t>a</t>
    </r>
    <r>
      <rPr>
        <b/>
        <sz val="10"/>
        <rFont val="Arial"/>
        <family val="2"/>
      </rPr>
      <t>2</t>
    </r>
  </si>
  <si>
    <r>
      <t>Q</t>
    </r>
    <r>
      <rPr>
        <b/>
        <vertAlign val="subscript"/>
        <sz val="10"/>
        <rFont val="Arial"/>
        <family val="2"/>
      </rPr>
      <t>20</t>
    </r>
  </si>
  <si>
    <t>+15</t>
  </si>
  <si>
    <t>+20</t>
  </si>
  <si>
    <r>
      <t>H</t>
    </r>
    <r>
      <rPr>
        <b/>
        <vertAlign val="subscript"/>
        <sz val="10"/>
        <rFont val="Arial"/>
        <family val="2"/>
      </rPr>
      <t>T</t>
    </r>
  </si>
  <si>
    <t>distanza minima tra due diffusori</t>
  </si>
  <si>
    <t>Coefficienti Dp e NR</t>
  </si>
  <si>
    <r>
      <t>Coefficienti H</t>
    </r>
    <r>
      <rPr>
        <b/>
        <vertAlign val="subscript"/>
        <sz val="10"/>
        <color indexed="10"/>
        <rFont val="Arial"/>
        <family val="2"/>
      </rPr>
      <t>T</t>
    </r>
  </si>
  <si>
    <t>EFFETT</t>
  </si>
  <si>
    <t>c1 (a)</t>
  </si>
  <si>
    <t>c2 (a)</t>
  </si>
  <si>
    <t>c3 (a)</t>
  </si>
  <si>
    <t>c1 (n)</t>
  </si>
  <si>
    <t>c2 (n)</t>
  </si>
  <si>
    <t>c3 (n)</t>
  </si>
  <si>
    <t>s1 (a)</t>
  </si>
  <si>
    <t>s2 (a)</t>
  </si>
  <si>
    <t>s3 (a)</t>
  </si>
  <si>
    <t>s1 (n)</t>
  </si>
  <si>
    <t>s2 (n)</t>
  </si>
  <si>
    <t>s3 (n)</t>
  </si>
  <si>
    <t>RISCALDAMENTO</t>
  </si>
  <si>
    <t>RAFFREDDAMENTO</t>
  </si>
  <si>
    <t>a1</t>
  </si>
  <si>
    <t>n1</t>
  </si>
  <si>
    <r>
      <t>S' [m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</si>
  <si>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a'</t>
  </si>
  <si>
    <t>n'</t>
  </si>
  <si>
    <t>val</t>
  </si>
  <si>
    <t>Coefficienti D</t>
  </si>
  <si>
    <r>
      <t>profondità di lancio v</t>
    </r>
    <r>
      <rPr>
        <vertAlign val="subscript"/>
        <sz val="10"/>
        <rFont val="Arial"/>
        <family val="2"/>
      </rPr>
      <t>m</t>
    </r>
    <r>
      <rPr>
        <sz val="10"/>
        <rFont val="Arial"/>
        <family val="0"/>
      </rPr>
      <t xml:space="preserve"> = 0,2 m/s</t>
    </r>
  </si>
  <si>
    <t>[°]</t>
  </si>
  <si>
    <t>cod.</t>
  </si>
  <si>
    <t>2.0.0</t>
  </si>
  <si>
    <t>1-1.0-06.00-I-12/14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</si>
</sst>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0.000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0.000000"/>
    <numFmt numFmtId="177" formatCode="[$€-2]\ #.##000_);[Red]\([$€-2]\ #.##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name val="Symbol"/>
      <family val="1"/>
    </font>
    <font>
      <sz val="10"/>
      <color indexed="10"/>
      <name val="Arial"/>
      <family val="2"/>
    </font>
    <font>
      <b/>
      <vertAlign val="subscript"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vertAlign val="subscript"/>
      <sz val="10"/>
      <color indexed="10"/>
      <name val="Arial"/>
      <family val="2"/>
    </font>
    <font>
      <sz val="10"/>
      <color indexed="12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1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1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171" fontId="8" fillId="0" borderId="0" xfId="0" applyNumberFormat="1" applyFont="1" applyBorder="1" applyAlignment="1" applyProtection="1">
      <alignment horizontal="left" vertical="center"/>
      <protection/>
    </xf>
    <xf numFmtId="170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70" fontId="0" fillId="0" borderId="0" xfId="0" applyNumberFormat="1" applyFont="1" applyBorder="1" applyAlignment="1" applyProtection="1">
      <alignment horizontal="center" vertical="center"/>
      <protection/>
    </xf>
    <xf numFmtId="171" fontId="0" fillId="0" borderId="0" xfId="0" applyNumberFormat="1" applyFont="1" applyBorder="1" applyAlignment="1" applyProtection="1">
      <alignment horizontal="center" vertical="center"/>
      <protection/>
    </xf>
    <xf numFmtId="1" fontId="0" fillId="0" borderId="0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>
      <alignment horizontal="center" vertical="center"/>
    </xf>
    <xf numFmtId="11" fontId="0" fillId="0" borderId="14" xfId="0" applyNumberForma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70" fontId="0" fillId="0" borderId="14" xfId="0" applyNumberFormat="1" applyBorder="1" applyAlignment="1">
      <alignment horizontal="center" vertical="center"/>
    </xf>
    <xf numFmtId="172" fontId="0" fillId="0" borderId="14" xfId="0" applyNumberFormat="1" applyBorder="1" applyAlignment="1">
      <alignment horizontal="center" vertical="center"/>
    </xf>
    <xf numFmtId="0" fontId="6" fillId="0" borderId="17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71" fontId="0" fillId="0" borderId="0" xfId="0" applyNumberFormat="1" applyBorder="1" applyAlignment="1">
      <alignment horizontal="left" vertical="center"/>
    </xf>
    <xf numFmtId="172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 locked="0"/>
    </xf>
    <xf numFmtId="172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171" fontId="0" fillId="0" borderId="14" xfId="0" applyNumberForma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1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>
      <alignment horizontal="center" vertical="center" textRotation="90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b/>
        <i val="0"/>
        <color indexed="10"/>
      </font>
    </dxf>
    <dxf>
      <font>
        <b val="0"/>
        <i val="0"/>
        <color auto="1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22</xdr:row>
      <xdr:rowOff>114300</xdr:rowOff>
    </xdr:from>
    <xdr:to>
      <xdr:col>6</xdr:col>
      <xdr:colOff>0</xdr:colOff>
      <xdr:row>31</xdr:row>
      <xdr:rowOff>66675</xdr:rowOff>
    </xdr:to>
    <xdr:sp>
      <xdr:nvSpPr>
        <xdr:cNvPr id="1" name="Rectangle 61"/>
        <xdr:cNvSpPr>
          <a:spLocks/>
        </xdr:cNvSpPr>
      </xdr:nvSpPr>
      <xdr:spPr>
        <a:xfrm>
          <a:off x="419100" y="4257675"/>
          <a:ext cx="6048375" cy="2181225"/>
        </a:xfrm>
        <a:prstGeom prst="rect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0</xdr:colOff>
      <xdr:row>22</xdr:row>
      <xdr:rowOff>0</xdr:rowOff>
    </xdr:from>
    <xdr:to>
      <xdr:col>5</xdr:col>
      <xdr:colOff>1143000</xdr:colOff>
      <xdr:row>23</xdr:row>
      <xdr:rowOff>0</xdr:rowOff>
    </xdr:to>
    <xdr:sp>
      <xdr:nvSpPr>
        <xdr:cNvPr id="2" name="AutoShape 59"/>
        <xdr:cNvSpPr>
          <a:spLocks/>
        </xdr:cNvSpPr>
      </xdr:nvSpPr>
      <xdr:spPr>
        <a:xfrm>
          <a:off x="4352925" y="4143375"/>
          <a:ext cx="1143000" cy="247650"/>
        </a:xfrm>
        <a:prstGeom prst="roundRect">
          <a:avLst>
            <a:gd name="adj" fmla="val 0"/>
          </a:avLst>
        </a:prstGeom>
        <a:solidFill>
          <a:srgbClr val="00CC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0</xdr:colOff>
      <xdr:row>4</xdr:row>
      <xdr:rowOff>0</xdr:rowOff>
    </xdr:from>
    <xdr:to>
      <xdr:col>5</xdr:col>
      <xdr:colOff>1143000</xdr:colOff>
      <xdr:row>5</xdr:row>
      <xdr:rowOff>0</xdr:rowOff>
    </xdr:to>
    <xdr:sp>
      <xdr:nvSpPr>
        <xdr:cNvPr id="3" name="AutoShape 54"/>
        <xdr:cNvSpPr>
          <a:spLocks/>
        </xdr:cNvSpPr>
      </xdr:nvSpPr>
      <xdr:spPr>
        <a:xfrm>
          <a:off x="4352925" y="904875"/>
          <a:ext cx="1143000" cy="247650"/>
        </a:xfrm>
        <a:prstGeom prst="roundRect">
          <a:avLst>
            <a:gd name="adj" fmla="val 0"/>
          </a:avLst>
        </a:prstGeom>
        <a:solidFill>
          <a:srgbClr val="00CC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4</xdr:row>
      <xdr:rowOff>114300</xdr:rowOff>
    </xdr:from>
    <xdr:to>
      <xdr:col>6</xdr:col>
      <xdr:colOff>0</xdr:colOff>
      <xdr:row>21</xdr:row>
      <xdr:rowOff>0</xdr:rowOff>
    </xdr:to>
    <xdr:sp>
      <xdr:nvSpPr>
        <xdr:cNvPr id="4" name="Rectangle 55"/>
        <xdr:cNvSpPr>
          <a:spLocks/>
        </xdr:cNvSpPr>
      </xdr:nvSpPr>
      <xdr:spPr>
        <a:xfrm>
          <a:off x="419100" y="1019175"/>
          <a:ext cx="6048375" cy="2876550"/>
        </a:xfrm>
        <a:prstGeom prst="rect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9525</xdr:colOff>
      <xdr:row>4</xdr:row>
      <xdr:rowOff>0</xdr:rowOff>
    </xdr:from>
    <xdr:to>
      <xdr:col>4</xdr:col>
      <xdr:colOff>2133600</xdr:colOff>
      <xdr:row>5</xdr:row>
      <xdr:rowOff>0</xdr:rowOff>
    </xdr:to>
    <xdr:sp>
      <xdr:nvSpPr>
        <xdr:cNvPr id="5" name="Text Box 56"/>
        <xdr:cNvSpPr txBox="1">
          <a:spLocks noChangeArrowheads="1"/>
        </xdr:cNvSpPr>
      </xdr:nvSpPr>
      <xdr:spPr>
        <a:xfrm>
          <a:off x="9525" y="904875"/>
          <a:ext cx="4333875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 Dati in ingresso:</a:t>
          </a:r>
        </a:p>
      </xdr:txBody>
    </xdr:sp>
    <xdr:clientData/>
  </xdr:twoCellAnchor>
  <xdr:twoCellAnchor editAs="absolute">
    <xdr:from>
      <xdr:col>4</xdr:col>
      <xdr:colOff>2133600</xdr:colOff>
      <xdr:row>4</xdr:row>
      <xdr:rowOff>0</xdr:rowOff>
    </xdr:from>
    <xdr:to>
      <xdr:col>5</xdr:col>
      <xdr:colOff>666750</xdr:colOff>
      <xdr:row>5</xdr:row>
      <xdr:rowOff>0</xdr:rowOff>
    </xdr:to>
    <xdr:sp>
      <xdr:nvSpPr>
        <xdr:cNvPr id="6" name="Text Box 57"/>
        <xdr:cNvSpPr txBox="1">
          <a:spLocks noChangeArrowheads="1"/>
        </xdr:cNvSpPr>
      </xdr:nvSpPr>
      <xdr:spPr>
        <a:xfrm>
          <a:off x="4343400" y="904875"/>
          <a:ext cx="676275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Note:</a:t>
          </a:r>
        </a:p>
      </xdr:txBody>
    </xdr:sp>
    <xdr:clientData/>
  </xdr:twoCellAnchor>
  <xdr:twoCellAnchor editAs="absolute">
    <xdr:from>
      <xdr:col>4</xdr:col>
      <xdr:colOff>2133600</xdr:colOff>
      <xdr:row>22</xdr:row>
      <xdr:rowOff>0</xdr:rowOff>
    </xdr:from>
    <xdr:to>
      <xdr:col>5</xdr:col>
      <xdr:colOff>666750</xdr:colOff>
      <xdr:row>23</xdr:row>
      <xdr:rowOff>0</xdr:rowOff>
    </xdr:to>
    <xdr:sp>
      <xdr:nvSpPr>
        <xdr:cNvPr id="7" name="Text Box 58"/>
        <xdr:cNvSpPr txBox="1">
          <a:spLocks noChangeArrowheads="1"/>
        </xdr:cNvSpPr>
      </xdr:nvSpPr>
      <xdr:spPr>
        <a:xfrm>
          <a:off x="4343400" y="4143375"/>
          <a:ext cx="676275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Note:</a:t>
          </a:r>
        </a:p>
      </xdr:txBody>
    </xdr:sp>
    <xdr:clientData/>
  </xdr:twoCellAnchor>
  <xdr:twoCellAnchor editAs="absolute">
    <xdr:from>
      <xdr:col>0</xdr:col>
      <xdr:colOff>9525</xdr:colOff>
      <xdr:row>22</xdr:row>
      <xdr:rowOff>0</xdr:rowOff>
    </xdr:from>
    <xdr:to>
      <xdr:col>5</xdr:col>
      <xdr:colOff>0</xdr:colOff>
      <xdr:row>23</xdr:row>
      <xdr:rowOff>0</xdr:rowOff>
    </xdr:to>
    <xdr:sp>
      <xdr:nvSpPr>
        <xdr:cNvPr id="8" name="Text Box 60"/>
        <xdr:cNvSpPr txBox="1">
          <a:spLocks noChangeArrowheads="1"/>
        </xdr:cNvSpPr>
      </xdr:nvSpPr>
      <xdr:spPr>
        <a:xfrm>
          <a:off x="9525" y="4143375"/>
          <a:ext cx="4343400" cy="247650"/>
        </a:xfrm>
        <a:prstGeom prst="rect">
          <a:avLst/>
        </a:prstGeom>
        <a:solidFill>
          <a:srgbClr val="00CCFF"/>
        </a:solidFill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      Risultati:</a:t>
          </a:r>
        </a:p>
      </xdr:txBody>
    </xdr:sp>
    <xdr:clientData/>
  </xdr:twoCellAnchor>
  <xdr:twoCellAnchor editAs="absolute">
    <xdr:from>
      <xdr:col>6</xdr:col>
      <xdr:colOff>66675</xdr:colOff>
      <xdr:row>4</xdr:row>
      <xdr:rowOff>114300</xdr:rowOff>
    </xdr:from>
    <xdr:to>
      <xdr:col>11</xdr:col>
      <xdr:colOff>600075</xdr:colOff>
      <xdr:row>31</xdr:row>
      <xdr:rowOff>66675</xdr:rowOff>
    </xdr:to>
    <xdr:sp>
      <xdr:nvSpPr>
        <xdr:cNvPr id="9" name="Rectangle 62"/>
        <xdr:cNvSpPr>
          <a:spLocks/>
        </xdr:cNvSpPr>
      </xdr:nvSpPr>
      <xdr:spPr>
        <a:xfrm>
          <a:off x="6534150" y="1019175"/>
          <a:ext cx="3581400" cy="5419725"/>
        </a:xfrm>
        <a:prstGeom prst="rect">
          <a:avLst/>
        </a:prstGeom>
        <a:noFill/>
        <a:ln w="19050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285750</xdr:colOff>
      <xdr:row>6</xdr:row>
      <xdr:rowOff>47625</xdr:rowOff>
    </xdr:from>
    <xdr:to>
      <xdr:col>10</xdr:col>
      <xdr:colOff>342900</xdr:colOff>
      <xdr:row>16</xdr:row>
      <xdr:rowOff>142875</xdr:rowOff>
    </xdr:to>
    <xdr:pic>
      <xdr:nvPicPr>
        <xdr:cNvPr id="10" name="Picture 75" descr="Angolo alf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295400"/>
          <a:ext cx="188595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</xdr:col>
      <xdr:colOff>304800</xdr:colOff>
      <xdr:row>18</xdr:row>
      <xdr:rowOff>28575</xdr:rowOff>
    </xdr:from>
    <xdr:to>
      <xdr:col>11</xdr:col>
      <xdr:colOff>200025</xdr:colOff>
      <xdr:row>30</xdr:row>
      <xdr:rowOff>85725</xdr:rowOff>
    </xdr:to>
    <xdr:pic>
      <xdr:nvPicPr>
        <xdr:cNvPr id="11" name="Picture 84" descr="altezza installazi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72275" y="3333750"/>
          <a:ext cx="294322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85"/>
        <xdr:cNvSpPr>
          <a:spLocks/>
        </xdr:cNvSpPr>
      </xdr:nvSpPr>
      <xdr:spPr>
        <a:xfrm>
          <a:off x="1019175" y="12477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13" name="Rectangle 86"/>
        <xdr:cNvSpPr>
          <a:spLocks/>
        </xdr:cNvSpPr>
      </xdr:nvSpPr>
      <xdr:spPr>
        <a:xfrm>
          <a:off x="1019175" y="15906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>
      <xdr:nvSpPr>
        <xdr:cNvPr id="14" name="Rectangle 87"/>
        <xdr:cNvSpPr>
          <a:spLocks/>
        </xdr:cNvSpPr>
      </xdr:nvSpPr>
      <xdr:spPr>
        <a:xfrm>
          <a:off x="1019175" y="19335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13</xdr:row>
      <xdr:rowOff>0</xdr:rowOff>
    </xdr:to>
    <xdr:sp>
      <xdr:nvSpPr>
        <xdr:cNvPr id="15" name="Rectangle 88"/>
        <xdr:cNvSpPr>
          <a:spLocks/>
        </xdr:cNvSpPr>
      </xdr:nvSpPr>
      <xdr:spPr>
        <a:xfrm>
          <a:off x="1019175" y="22764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15</xdr:row>
      <xdr:rowOff>0</xdr:rowOff>
    </xdr:to>
    <xdr:sp>
      <xdr:nvSpPr>
        <xdr:cNvPr id="16" name="Rectangle 89"/>
        <xdr:cNvSpPr>
          <a:spLocks/>
        </xdr:cNvSpPr>
      </xdr:nvSpPr>
      <xdr:spPr>
        <a:xfrm>
          <a:off x="1019175" y="2619375"/>
          <a:ext cx="7524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9525</xdr:colOff>
      <xdr:row>1</xdr:row>
      <xdr:rowOff>0</xdr:rowOff>
    </xdr:from>
    <xdr:to>
      <xdr:col>5</xdr:col>
      <xdr:colOff>1190625</xdr:colOff>
      <xdr:row>3</xdr:row>
      <xdr:rowOff>190500</xdr:rowOff>
    </xdr:to>
    <xdr:pic>
      <xdr:nvPicPr>
        <xdr:cNvPr id="17" name="Picture 95" descr="rendering"/>
        <xdr:cNvPicPr preferRelativeResize="1">
          <a:picLocks noChangeAspect="1"/>
        </xdr:cNvPicPr>
      </xdr:nvPicPr>
      <xdr:blipFill>
        <a:blip r:embed="rId3"/>
        <a:srcRect t="10935" b="10935"/>
        <a:stretch>
          <a:fillRect/>
        </a:stretch>
      </xdr:blipFill>
      <xdr:spPr>
        <a:xfrm>
          <a:off x="4362450" y="16192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2019300</xdr:colOff>
      <xdr:row>1</xdr:row>
      <xdr:rowOff>28575</xdr:rowOff>
    </xdr:from>
    <xdr:to>
      <xdr:col>9</xdr:col>
      <xdr:colOff>257175</xdr:colOff>
      <xdr:row>4</xdr:row>
      <xdr:rowOff>28575</xdr:rowOff>
    </xdr:to>
    <xdr:pic>
      <xdr:nvPicPr>
        <xdr:cNvPr id="18" name="Immagine 19" descr="212_310_restyling_FS_0_1_esec_rg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90500"/>
          <a:ext cx="2181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2:AE74"/>
  <sheetViews>
    <sheetView showGridLines="0" showRowColHeaders="0" tabSelected="1" zoomScaleSheetLayoutView="100" zoomScalePageLayoutView="0" workbookViewId="0" topLeftCell="A13">
      <selection activeCell="C11" sqref="C11"/>
    </sheetView>
  </sheetViews>
  <sheetFormatPr defaultColWidth="9.140625" defaultRowHeight="12.75"/>
  <cols>
    <col min="1" max="1" width="6.140625" style="2" customWidth="1"/>
    <col min="2" max="2" width="9.140625" style="2" customWidth="1"/>
    <col min="3" max="3" width="11.28125" style="2" customWidth="1"/>
    <col min="4" max="4" width="6.57421875" style="3" customWidth="1"/>
    <col min="5" max="5" width="32.140625" style="3" bestFit="1" customWidth="1"/>
    <col min="6" max="6" width="31.7109375" style="2" customWidth="1"/>
    <col min="7" max="12" width="9.140625" style="2" customWidth="1"/>
    <col min="13" max="14" width="9.140625" style="2" hidden="1" customWidth="1"/>
    <col min="15" max="15" width="10.00390625" style="2" hidden="1" customWidth="1"/>
    <col min="16" max="17" width="9.140625" style="2" hidden="1" customWidth="1"/>
    <col min="18" max="18" width="12.421875" style="2" hidden="1" customWidth="1"/>
    <col min="19" max="19" width="10.00390625" style="2" hidden="1" customWidth="1"/>
    <col min="20" max="31" width="9.140625" style="2" hidden="1" customWidth="1"/>
    <col min="32" max="32" width="9.00390625" style="2" hidden="1" customWidth="1"/>
    <col min="33" max="16384" width="9.140625" style="2" customWidth="1"/>
  </cols>
  <sheetData>
    <row r="1" ht="12.75"/>
    <row r="2" spans="1:13" ht="19.5" customHeight="1">
      <c r="A2" s="5"/>
      <c r="B2" s="5"/>
      <c r="C2" s="5"/>
      <c r="D2" s="6"/>
      <c r="E2" s="6"/>
      <c r="F2" s="5"/>
      <c r="G2" s="5"/>
      <c r="H2" s="5"/>
      <c r="I2" s="5"/>
      <c r="J2" s="5"/>
      <c r="K2" s="5"/>
      <c r="L2" s="5"/>
      <c r="M2" s="5"/>
    </row>
    <row r="3" spans="1:15" ht="19.5" customHeight="1">
      <c r="A3" s="5"/>
      <c r="B3" s="33" t="s">
        <v>36</v>
      </c>
      <c r="C3" s="34"/>
      <c r="D3" s="35"/>
      <c r="E3" s="35"/>
      <c r="F3" s="5"/>
      <c r="G3" s="5"/>
      <c r="H3" s="5"/>
      <c r="I3" s="5"/>
      <c r="J3" s="12" t="s">
        <v>79</v>
      </c>
      <c r="K3" s="72" t="s">
        <v>81</v>
      </c>
      <c r="L3" s="73"/>
      <c r="O3" s="5"/>
    </row>
    <row r="4" spans="1:13" ht="19.5" customHeight="1">
      <c r="A4" s="5"/>
      <c r="B4" s="8"/>
      <c r="C4" s="5"/>
      <c r="D4" s="6"/>
      <c r="E4" s="6"/>
      <c r="F4" s="5"/>
      <c r="G4" s="5"/>
      <c r="H4" s="5"/>
      <c r="I4" s="5"/>
      <c r="J4" s="12" t="s">
        <v>26</v>
      </c>
      <c r="K4" s="68" t="s">
        <v>80</v>
      </c>
      <c r="L4" s="6"/>
      <c r="M4" s="5"/>
    </row>
    <row r="5" spans="1:13" ht="19.5" customHeight="1">
      <c r="A5" s="5"/>
      <c r="B5" s="36"/>
      <c r="C5" s="34"/>
      <c r="D5" s="35"/>
      <c r="E5" s="35"/>
      <c r="F5" s="10"/>
      <c r="G5" s="5"/>
      <c r="H5" s="5"/>
      <c r="I5" s="5"/>
      <c r="J5" s="5"/>
      <c r="K5" s="5"/>
      <c r="L5" s="5"/>
      <c r="M5" s="5"/>
    </row>
    <row r="6" spans="1:13" ht="7.5" customHeight="1">
      <c r="A6" s="5"/>
      <c r="B6" s="36"/>
      <c r="C6" s="34"/>
      <c r="D6" s="35"/>
      <c r="E6" s="35"/>
      <c r="F6" s="10"/>
      <c r="G6" s="5"/>
      <c r="H6" s="5"/>
      <c r="I6" s="5"/>
      <c r="J6" s="5"/>
      <c r="K6" s="5"/>
      <c r="L6" s="5"/>
      <c r="M6" s="5"/>
    </row>
    <row r="7" spans="1:13" ht="19.5" customHeight="1">
      <c r="A7" s="5"/>
      <c r="B7" s="1" t="s">
        <v>2</v>
      </c>
      <c r="C7" s="27">
        <f>LOOKUP(N34,N35:N42,O35:O42)</f>
        <v>315</v>
      </c>
      <c r="D7" s="6" t="s">
        <v>7</v>
      </c>
      <c r="E7" s="6" t="s">
        <v>27</v>
      </c>
      <c r="F7" s="6">
        <f>IF(N34=N35,"Selezionare diametro","")</f>
      </c>
      <c r="G7" s="5"/>
      <c r="H7" s="5"/>
      <c r="I7" s="5"/>
      <c r="J7" s="5"/>
      <c r="K7" s="5"/>
      <c r="L7" s="5"/>
      <c r="M7" s="5"/>
    </row>
    <row r="8" spans="1:13" ht="7.5" customHeight="1">
      <c r="A8" s="5"/>
      <c r="B8" s="1"/>
      <c r="C8" s="27"/>
      <c r="D8" s="6"/>
      <c r="E8" s="6"/>
      <c r="F8" s="6"/>
      <c r="G8" s="5"/>
      <c r="H8" s="5"/>
      <c r="I8" s="5"/>
      <c r="J8" s="5"/>
      <c r="K8" s="5"/>
      <c r="L8" s="5"/>
      <c r="M8" s="5"/>
    </row>
    <row r="9" spans="1:13" ht="19.5" customHeight="1">
      <c r="A9" s="5"/>
      <c r="B9" s="37" t="s">
        <v>37</v>
      </c>
      <c r="C9" s="45">
        <f>O46</f>
        <v>35</v>
      </c>
      <c r="D9" s="6" t="s">
        <v>78</v>
      </c>
      <c r="E9" s="6" t="s">
        <v>38</v>
      </c>
      <c r="F9" s="10"/>
      <c r="G9" s="6"/>
      <c r="H9" s="6"/>
      <c r="I9" s="6"/>
      <c r="J9" s="6"/>
      <c r="K9" s="5"/>
      <c r="L9" s="5"/>
      <c r="M9" s="5"/>
    </row>
    <row r="10" spans="1:13" ht="7.5" customHeight="1">
      <c r="A10" s="5"/>
      <c r="B10" s="1"/>
      <c r="C10" s="27"/>
      <c r="D10" s="6"/>
      <c r="E10" s="6"/>
      <c r="F10" s="10"/>
      <c r="G10" s="6"/>
      <c r="H10" s="6"/>
      <c r="I10" s="6"/>
      <c r="J10" s="6"/>
      <c r="K10" s="5"/>
      <c r="L10" s="5"/>
      <c r="M10" s="5"/>
    </row>
    <row r="11" spans="1:13" ht="19.5" customHeight="1">
      <c r="A11" s="5"/>
      <c r="B11" s="1" t="s">
        <v>3</v>
      </c>
      <c r="C11" s="66">
        <v>800</v>
      </c>
      <c r="D11" s="6" t="s">
        <v>8</v>
      </c>
      <c r="E11" s="6" t="s">
        <v>28</v>
      </c>
      <c r="F11" s="6">
        <f>IF(C11="","Selezionare la portata","")</f>
      </c>
      <c r="G11" s="5"/>
      <c r="H11" s="5"/>
      <c r="I11" s="5"/>
      <c r="J11" s="5"/>
      <c r="K11" s="5"/>
      <c r="L11" s="5"/>
      <c r="M11" s="5"/>
    </row>
    <row r="12" spans="1:13" ht="7.5" customHeight="1">
      <c r="A12" s="5"/>
      <c r="B12" s="1"/>
      <c r="C12" s="45"/>
      <c r="D12" s="6"/>
      <c r="E12" s="6"/>
      <c r="F12" s="6"/>
      <c r="G12" s="5"/>
      <c r="H12" s="5"/>
      <c r="I12" s="5"/>
      <c r="J12" s="5"/>
      <c r="K12" s="5"/>
      <c r="L12" s="5"/>
      <c r="M12" s="5"/>
    </row>
    <row r="13" spans="1:13" ht="19.5" customHeight="1">
      <c r="A13" s="5"/>
      <c r="B13" s="37" t="s">
        <v>18</v>
      </c>
      <c r="C13" s="27" t="str">
        <f>LOOKUP(Z34,Z35:Z42,AA35:AA42)</f>
        <v>+10</v>
      </c>
      <c r="D13" s="6" t="s">
        <v>17</v>
      </c>
      <c r="E13" s="6" t="s">
        <v>29</v>
      </c>
      <c r="F13" s="6" t="str">
        <f>LOOKUP(Z34,Z35:Z42,AB35:AB42)</f>
        <v>Riscaldamento</v>
      </c>
      <c r="G13" s="5"/>
      <c r="H13" s="5"/>
      <c r="I13" s="5"/>
      <c r="J13" s="5"/>
      <c r="K13" s="5"/>
      <c r="L13" s="5"/>
      <c r="M13" s="5"/>
    </row>
    <row r="14" spans="1:13" ht="7.5" customHeight="1">
      <c r="A14" s="5"/>
      <c r="B14" s="37"/>
      <c r="C14" s="27"/>
      <c r="D14" s="6"/>
      <c r="E14" s="6"/>
      <c r="F14" s="6"/>
      <c r="G14" s="5"/>
      <c r="H14" s="5"/>
      <c r="I14" s="5"/>
      <c r="J14" s="5"/>
      <c r="K14" s="5"/>
      <c r="L14" s="5"/>
      <c r="M14" s="5"/>
    </row>
    <row r="15" spans="1:13" ht="19.5" customHeight="1">
      <c r="A15" s="5"/>
      <c r="B15" s="1" t="s">
        <v>24</v>
      </c>
      <c r="C15" s="28">
        <f>2.4+O45/10</f>
        <v>6</v>
      </c>
      <c r="D15" s="6" t="s">
        <v>15</v>
      </c>
      <c r="E15" s="6" t="s">
        <v>30</v>
      </c>
      <c r="F15" s="5"/>
      <c r="G15" s="5"/>
      <c r="H15" s="5"/>
      <c r="I15" s="5"/>
      <c r="J15" s="5"/>
      <c r="K15" s="5"/>
      <c r="L15" s="5"/>
      <c r="M15" s="5"/>
    </row>
    <row r="16" spans="1:13" ht="7.5" customHeight="1">
      <c r="A16" s="5"/>
      <c r="B16" s="1"/>
      <c r="C16" s="28"/>
      <c r="D16" s="6"/>
      <c r="E16" s="6"/>
      <c r="F16" s="5"/>
      <c r="G16" s="5"/>
      <c r="H16" s="5"/>
      <c r="I16" s="5"/>
      <c r="J16" s="5"/>
      <c r="K16" s="5"/>
      <c r="L16" s="5"/>
      <c r="M16" s="5"/>
    </row>
    <row r="17" spans="1:13" ht="19.5" customHeight="1">
      <c r="A17" s="5"/>
      <c r="B17" s="1"/>
      <c r="C17" s="28"/>
      <c r="D17" s="6"/>
      <c r="E17" s="6"/>
      <c r="F17" s="5"/>
      <c r="G17" s="5"/>
      <c r="H17" s="5"/>
      <c r="I17" s="5"/>
      <c r="J17" s="5"/>
      <c r="K17" s="5"/>
      <c r="L17" s="5"/>
      <c r="M17" s="5"/>
    </row>
    <row r="18" spans="1:13" ht="7.5" customHeight="1">
      <c r="A18" s="5"/>
      <c r="B18" s="1"/>
      <c r="C18" s="28"/>
      <c r="D18" s="6"/>
      <c r="E18" s="6"/>
      <c r="F18" s="5"/>
      <c r="G18" s="5"/>
      <c r="H18" s="5"/>
      <c r="I18" s="5"/>
      <c r="J18" s="5"/>
      <c r="K18" s="5"/>
      <c r="L18" s="5"/>
      <c r="M18" s="5"/>
    </row>
    <row r="19" spans="1:13" ht="19.5" customHeight="1">
      <c r="A19" s="5"/>
      <c r="B19" s="1"/>
      <c r="C19" s="28"/>
      <c r="D19" s="57"/>
      <c r="E19" s="6"/>
      <c r="F19" s="5"/>
      <c r="G19" s="5"/>
      <c r="H19" s="5"/>
      <c r="I19" s="5"/>
      <c r="J19" s="5"/>
      <c r="K19" s="5"/>
      <c r="L19" s="5"/>
      <c r="M19" s="5"/>
    </row>
    <row r="20" spans="1:13" ht="19.5" customHeight="1">
      <c r="A20" s="5"/>
      <c r="B20" s="1"/>
      <c r="C20" s="28"/>
      <c r="D20" s="6"/>
      <c r="E20" s="6"/>
      <c r="F20" s="5"/>
      <c r="G20" s="5"/>
      <c r="H20" s="5"/>
      <c r="I20" s="5"/>
      <c r="J20" s="5"/>
      <c r="K20" s="5"/>
      <c r="L20" s="5"/>
      <c r="M20" s="5"/>
    </row>
    <row r="21" spans="1:13" ht="7.5" customHeight="1">
      <c r="A21" s="5"/>
      <c r="B21" s="1"/>
      <c r="C21" s="28"/>
      <c r="D21" s="6"/>
      <c r="E21" s="6"/>
      <c r="F21" s="5"/>
      <c r="G21" s="10"/>
      <c r="H21" s="10"/>
      <c r="I21" s="10"/>
      <c r="J21" s="10"/>
      <c r="K21" s="5"/>
      <c r="L21" s="5"/>
      <c r="M21" s="5"/>
    </row>
    <row r="22" spans="1:13" ht="19.5" customHeight="1">
      <c r="A22" s="5"/>
      <c r="B22" s="1"/>
      <c r="C22" s="11"/>
      <c r="D22" s="6"/>
      <c r="E22" s="6"/>
      <c r="F22" s="5"/>
      <c r="G22" s="5"/>
      <c r="H22" s="5"/>
      <c r="I22" s="5"/>
      <c r="J22" s="5"/>
      <c r="K22" s="5"/>
      <c r="L22" s="5"/>
      <c r="M22" s="5"/>
    </row>
    <row r="23" spans="1:13" ht="19.5" customHeight="1">
      <c r="A23" s="5"/>
      <c r="B23" s="38"/>
      <c r="C23" s="27"/>
      <c r="D23" s="26"/>
      <c r="E23" s="26"/>
      <c r="F23" s="10"/>
      <c r="G23" s="5"/>
      <c r="H23" s="5"/>
      <c r="I23" s="5"/>
      <c r="J23" s="5"/>
      <c r="K23" s="5"/>
      <c r="L23" s="5"/>
      <c r="M23" s="5"/>
    </row>
    <row r="24" spans="1:13" ht="19.5" customHeight="1">
      <c r="A24" s="5"/>
      <c r="B24" s="38" t="s">
        <v>0</v>
      </c>
      <c r="C24" s="41">
        <f>IF(N34=N35,"",LOOKUP(N34,N35:N42,P35:P42))</f>
        <v>0.0711</v>
      </c>
      <c r="D24" s="26" t="s">
        <v>9</v>
      </c>
      <c r="E24" s="26" t="s">
        <v>31</v>
      </c>
      <c r="F24" s="27"/>
      <c r="G24" s="9"/>
      <c r="H24" s="9"/>
      <c r="I24" s="9"/>
      <c r="J24" s="9"/>
      <c r="K24" s="5"/>
      <c r="L24" s="5"/>
      <c r="M24" s="5"/>
    </row>
    <row r="25" spans="1:13" ht="19.5" customHeight="1">
      <c r="A25" s="5"/>
      <c r="B25" s="38" t="s">
        <v>11</v>
      </c>
      <c r="C25" s="42">
        <f>IF(N34=N35,"",C11/C24/3600)</f>
        <v>3.1254883575558683</v>
      </c>
      <c r="D25" s="26" t="s">
        <v>10</v>
      </c>
      <c r="E25" s="26" t="s">
        <v>32</v>
      </c>
      <c r="F25" s="27"/>
      <c r="G25" s="5"/>
      <c r="H25" s="5"/>
      <c r="I25" s="5"/>
      <c r="J25" s="5"/>
      <c r="K25" s="5"/>
      <c r="L25" s="5"/>
      <c r="M25" s="5"/>
    </row>
    <row r="26" spans="1:13" ht="19.5" customHeight="1">
      <c r="A26" s="5"/>
      <c r="B26" s="39" t="s">
        <v>14</v>
      </c>
      <c r="C26" s="43">
        <f>IF(N34=N35,"",(O48*C9^2+O49*C9+O50)*C11^O51)</f>
        <v>28.180988798621975</v>
      </c>
      <c r="D26" s="26" t="s">
        <v>12</v>
      </c>
      <c r="E26" s="26" t="s">
        <v>33</v>
      </c>
      <c r="F26" s="27"/>
      <c r="G26" s="5"/>
      <c r="H26" s="5"/>
      <c r="I26" s="5"/>
      <c r="J26" s="5"/>
      <c r="K26" s="5"/>
      <c r="L26" s="5"/>
      <c r="M26" s="5"/>
    </row>
    <row r="27" spans="2:13" ht="19.5" customHeight="1">
      <c r="B27" s="38" t="s">
        <v>4</v>
      </c>
      <c r="C27" s="43">
        <f>IF(N34=N35,"",IF(C11="","",IF(C11=0,"",IF((O52*LN(O58)+O53)&lt;15,"&lt;15",O52*LN(O58)+O53))))</f>
        <v>37.58293954372827</v>
      </c>
      <c r="D27" s="26"/>
      <c r="E27" s="26" t="s">
        <v>34</v>
      </c>
      <c r="F27" s="40">
        <f>IF(C27="","",IF(C27="&lt;15","&lt;15",IF(C27&gt;=40.5,"&gt;40!","")))</f>
      </c>
      <c r="M27" s="5"/>
    </row>
    <row r="28" spans="2:13" ht="19.5" customHeight="1">
      <c r="B28" s="38"/>
      <c r="C28" s="42"/>
      <c r="D28" s="26"/>
      <c r="E28" s="26"/>
      <c r="F28" s="27"/>
      <c r="M28" s="5"/>
    </row>
    <row r="29" spans="2:13" ht="19.5" customHeight="1">
      <c r="B29" s="38" t="s">
        <v>51</v>
      </c>
      <c r="C29" s="4">
        <f>IF($C$11=0,"",IF($N$34=$N$35,"",IF((EXP(($R$60-$R$62+$R$59*LN($C$11))/$R$61))&gt;$C$15,$C$15,EXP(($R$60-$R$62+$R$59*LN($C$11))/$R$61))))</f>
        <v>3.6839639102288766</v>
      </c>
      <c r="D29" s="26" t="s">
        <v>15</v>
      </c>
      <c r="E29" s="26" t="s">
        <v>77</v>
      </c>
      <c r="F29" s="40">
        <f>IF(C29&gt;C15-1.8,"&gt;h-1,8","")</f>
      </c>
      <c r="M29" s="5"/>
    </row>
    <row r="30" spans="2:13" ht="19.5" customHeight="1">
      <c r="B30" s="38" t="s">
        <v>25</v>
      </c>
      <c r="C30" s="44">
        <f>IF(C11=0,"",IF(N34=N35,"",0.2*R63/(C15-1.8)))</f>
        <v>0.17542685286804174</v>
      </c>
      <c r="D30" s="26" t="s">
        <v>10</v>
      </c>
      <c r="E30" s="26" t="s">
        <v>35</v>
      </c>
      <c r="F30" s="40">
        <f>IF(C30="","",IF(N34=N35,"",IF(C30&gt;0.2,"&gt;0,2!","")))</f>
      </c>
      <c r="M30" s="5"/>
    </row>
    <row r="31" spans="2:13" ht="19.5" customHeight="1">
      <c r="B31" s="38" t="s">
        <v>1</v>
      </c>
      <c r="C31" s="4">
        <f>IF(C11=0,"",IF(N34=N35,"",Q74*(C11/(P74*3600))^R74))</f>
        <v>2.7954543042899487</v>
      </c>
      <c r="D31" s="26" t="s">
        <v>15</v>
      </c>
      <c r="E31" s="26" t="s">
        <v>52</v>
      </c>
      <c r="F31" s="27"/>
      <c r="M31" s="5"/>
    </row>
    <row r="32" spans="2:13" ht="19.5" customHeight="1">
      <c r="B32" s="5"/>
      <c r="C32" s="5"/>
      <c r="D32" s="6"/>
      <c r="E32" s="6"/>
      <c r="F32" s="5"/>
      <c r="H32" s="31"/>
      <c r="M32" s="5"/>
    </row>
    <row r="33" spans="3:28" ht="12.75" customHeight="1" thickBot="1">
      <c r="C33" s="29"/>
      <c r="H33" s="31"/>
      <c r="M33" s="5"/>
      <c r="N33" s="13"/>
      <c r="O33" s="53"/>
      <c r="P33" s="53"/>
      <c r="Q33" s="13"/>
      <c r="R33" s="13"/>
      <c r="S33" s="13"/>
      <c r="T33" s="13"/>
      <c r="U33" s="13"/>
      <c r="X33" s="13"/>
      <c r="Z33" s="13"/>
      <c r="AA33" s="71" t="s">
        <v>16</v>
      </c>
      <c r="AB33" s="71"/>
    </row>
    <row r="34" spans="13:28" ht="12.75" customHeight="1" thickBot="1">
      <c r="M34" s="7"/>
      <c r="N34" s="14">
        <v>5</v>
      </c>
      <c r="O34" s="15" t="s">
        <v>6</v>
      </c>
      <c r="P34" s="16" t="s">
        <v>13</v>
      </c>
      <c r="Q34" s="32" t="s">
        <v>39</v>
      </c>
      <c r="R34" s="32" t="s">
        <v>40</v>
      </c>
      <c r="S34" s="32" t="s">
        <v>41</v>
      </c>
      <c r="T34" s="32" t="s">
        <v>5</v>
      </c>
      <c r="U34" s="32" t="s">
        <v>42</v>
      </c>
      <c r="V34" s="32" t="s">
        <v>43</v>
      </c>
      <c r="W34" s="48" t="s">
        <v>44</v>
      </c>
      <c r="X34" s="48" t="s">
        <v>46</v>
      </c>
      <c r="Z34" s="14">
        <v>6</v>
      </c>
      <c r="AA34" s="18" t="s">
        <v>18</v>
      </c>
      <c r="AB34" s="19"/>
    </row>
    <row r="35" spans="3:28" ht="12.75" customHeight="1">
      <c r="C35" s="4"/>
      <c r="M35" s="5"/>
      <c r="N35" s="20">
        <v>1</v>
      </c>
      <c r="O35" s="21"/>
      <c r="P35" s="21"/>
      <c r="Q35" s="30"/>
      <c r="R35" s="30"/>
      <c r="S35" s="30"/>
      <c r="T35" s="30"/>
      <c r="U35" s="30"/>
      <c r="V35" s="30"/>
      <c r="W35" s="30"/>
      <c r="X35" s="30"/>
      <c r="Z35" s="20">
        <v>1</v>
      </c>
      <c r="AA35" s="2">
        <v>-15</v>
      </c>
      <c r="AB35" s="23" t="s">
        <v>21</v>
      </c>
    </row>
    <row r="36" spans="13:28" ht="12.75" customHeight="1">
      <c r="M36" s="5"/>
      <c r="N36" s="19">
        <v>2</v>
      </c>
      <c r="O36" s="24">
        <v>160</v>
      </c>
      <c r="P36" s="25">
        <v>0.0211</v>
      </c>
      <c r="Q36" s="30">
        <v>5E-08</v>
      </c>
      <c r="R36" s="47">
        <v>9E-06</v>
      </c>
      <c r="S36" s="47">
        <v>0.0003</v>
      </c>
      <c r="T36" s="30">
        <v>1.94</v>
      </c>
      <c r="U36" s="30">
        <v>22.727</v>
      </c>
      <c r="V36" s="30">
        <v>-88.878</v>
      </c>
      <c r="W36" s="30">
        <v>150</v>
      </c>
      <c r="X36" s="30">
        <v>115</v>
      </c>
      <c r="Z36" s="19">
        <v>2</v>
      </c>
      <c r="AA36" s="22">
        <v>-10</v>
      </c>
      <c r="AB36" s="23" t="s">
        <v>21</v>
      </c>
    </row>
    <row r="37" spans="3:28" ht="12.75" customHeight="1">
      <c r="C37" s="4"/>
      <c r="M37" s="5"/>
      <c r="N37" s="19">
        <v>3</v>
      </c>
      <c r="O37" s="25">
        <v>200</v>
      </c>
      <c r="P37" s="25">
        <v>0.0319</v>
      </c>
      <c r="Q37" s="30">
        <v>2E-07</v>
      </c>
      <c r="R37" s="47">
        <v>-9.000304946748871E-06</v>
      </c>
      <c r="S37" s="47">
        <v>0.0003</v>
      </c>
      <c r="T37" s="30">
        <v>1.9692</v>
      </c>
      <c r="U37" s="30">
        <v>22.727</v>
      </c>
      <c r="V37" s="30">
        <v>-97.06</v>
      </c>
      <c r="W37" s="30">
        <v>215</v>
      </c>
      <c r="X37" s="30">
        <v>160</v>
      </c>
      <c r="Z37" s="19">
        <v>3</v>
      </c>
      <c r="AA37" s="22">
        <v>-5</v>
      </c>
      <c r="AB37" s="23" t="s">
        <v>21</v>
      </c>
    </row>
    <row r="38" spans="13:28" ht="12.75" customHeight="1">
      <c r="M38" s="5"/>
      <c r="N38" s="19">
        <v>4</v>
      </c>
      <c r="O38" s="25">
        <v>250</v>
      </c>
      <c r="P38" s="25">
        <v>0.0438</v>
      </c>
      <c r="Q38" s="30">
        <v>2.518836546252612E-08</v>
      </c>
      <c r="R38" s="47">
        <v>2E-07</v>
      </c>
      <c r="S38" s="47">
        <v>9E-05</v>
      </c>
      <c r="T38" s="30">
        <v>1.98</v>
      </c>
      <c r="U38" s="30">
        <v>22.727</v>
      </c>
      <c r="V38" s="30">
        <v>-104.63</v>
      </c>
      <c r="W38" s="30">
        <v>300</v>
      </c>
      <c r="X38" s="30">
        <v>230</v>
      </c>
      <c r="Z38" s="19">
        <v>4</v>
      </c>
      <c r="AA38" s="22">
        <v>0</v>
      </c>
      <c r="AB38" s="23" t="s">
        <v>19</v>
      </c>
    </row>
    <row r="39" spans="13:28" ht="12.75" customHeight="1">
      <c r="M39" s="5"/>
      <c r="N39" s="19">
        <v>5</v>
      </c>
      <c r="O39" s="25">
        <v>315</v>
      </c>
      <c r="P39" s="25">
        <v>0.0711</v>
      </c>
      <c r="Q39" s="30">
        <v>-2E-09</v>
      </c>
      <c r="R39" s="47">
        <v>7.566512856527667E-07</v>
      </c>
      <c r="S39" s="47">
        <v>2E-05</v>
      </c>
      <c r="T39" s="30">
        <v>2</v>
      </c>
      <c r="U39" s="30">
        <v>22.727</v>
      </c>
      <c r="V39" s="30">
        <v>-116.24</v>
      </c>
      <c r="W39" s="30">
        <v>500</v>
      </c>
      <c r="X39" s="30">
        <v>400</v>
      </c>
      <c r="Z39" s="19">
        <v>5</v>
      </c>
      <c r="AA39" s="22" t="s">
        <v>22</v>
      </c>
      <c r="AB39" s="23" t="s">
        <v>20</v>
      </c>
    </row>
    <row r="40" spans="13:28" ht="12.75" customHeight="1">
      <c r="M40" s="5"/>
      <c r="N40" s="19">
        <v>6</v>
      </c>
      <c r="O40" s="24">
        <v>400</v>
      </c>
      <c r="P40" s="24">
        <v>0.1257</v>
      </c>
      <c r="Q40" s="30">
        <v>1E-09</v>
      </c>
      <c r="R40" s="47">
        <v>1.327736476790251E-07</v>
      </c>
      <c r="S40" s="47">
        <v>8E-06</v>
      </c>
      <c r="T40" s="30">
        <v>2</v>
      </c>
      <c r="U40" s="30">
        <v>22.727</v>
      </c>
      <c r="V40" s="30">
        <v>-128.3</v>
      </c>
      <c r="W40" s="30">
        <v>850</v>
      </c>
      <c r="X40" s="30">
        <v>700</v>
      </c>
      <c r="Z40" s="19">
        <v>6</v>
      </c>
      <c r="AA40" s="22" t="s">
        <v>23</v>
      </c>
      <c r="AB40" s="23" t="s">
        <v>20</v>
      </c>
    </row>
    <row r="41" spans="13:28" ht="12.75">
      <c r="M41" s="5"/>
      <c r="N41" s="19">
        <v>7</v>
      </c>
      <c r="O41" s="24">
        <v>500</v>
      </c>
      <c r="P41" s="24">
        <v>0.2009</v>
      </c>
      <c r="Q41" s="30">
        <v>-5E-10</v>
      </c>
      <c r="R41" s="47">
        <v>1.1618578110296203E-07</v>
      </c>
      <c r="S41" s="47">
        <v>2E-06</v>
      </c>
      <c r="T41" s="30">
        <v>2</v>
      </c>
      <c r="U41" s="30">
        <v>22.727</v>
      </c>
      <c r="V41" s="30">
        <v>-139.64</v>
      </c>
      <c r="W41" s="30">
        <v>1400</v>
      </c>
      <c r="X41" s="30">
        <v>1100</v>
      </c>
      <c r="Z41" s="19">
        <v>7</v>
      </c>
      <c r="AA41" s="22" t="s">
        <v>49</v>
      </c>
      <c r="AB41" s="23" t="s">
        <v>20</v>
      </c>
    </row>
    <row r="42" spans="13:28" ht="12.75" customHeight="1">
      <c r="M42" s="5"/>
      <c r="N42" s="19">
        <v>8</v>
      </c>
      <c r="O42" s="24">
        <v>630</v>
      </c>
      <c r="P42" s="24">
        <v>0.3051</v>
      </c>
      <c r="Q42" s="30">
        <v>5E-11</v>
      </c>
      <c r="R42" s="47">
        <v>3E-08</v>
      </c>
      <c r="S42" s="47">
        <v>1.0550127335039992E-06</v>
      </c>
      <c r="T42" s="30">
        <v>2.01</v>
      </c>
      <c r="U42" s="30">
        <v>22.727</v>
      </c>
      <c r="V42" s="30">
        <v>-147.75</v>
      </c>
      <c r="W42" s="30">
        <v>2000</v>
      </c>
      <c r="X42" s="30">
        <v>1600</v>
      </c>
      <c r="Z42" s="19">
        <v>8</v>
      </c>
      <c r="AA42" s="22" t="s">
        <v>50</v>
      </c>
      <c r="AB42" s="23" t="s">
        <v>20</v>
      </c>
    </row>
    <row r="43" spans="13:24" ht="12.75">
      <c r="M43" s="5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3:24" ht="15">
      <c r="M44" s="5"/>
      <c r="N44" s="69" t="s">
        <v>53</v>
      </c>
      <c r="O44" s="69"/>
      <c r="P44" s="13"/>
      <c r="Q44" s="69" t="s">
        <v>54</v>
      </c>
      <c r="R44" s="69"/>
      <c r="W44" s="13"/>
      <c r="X44" s="13"/>
    </row>
    <row r="45" spans="13:24" ht="12.75">
      <c r="M45" s="5"/>
      <c r="N45" s="17" t="s">
        <v>24</v>
      </c>
      <c r="O45" s="19">
        <v>36</v>
      </c>
      <c r="R45" s="54"/>
      <c r="W45" s="13"/>
      <c r="X45" s="13"/>
    </row>
    <row r="46" spans="13:31" ht="12.75">
      <c r="M46" s="5"/>
      <c r="N46" s="46" t="s">
        <v>37</v>
      </c>
      <c r="O46" s="19">
        <v>35</v>
      </c>
      <c r="P46" s="13"/>
      <c r="Q46" s="32" t="s">
        <v>56</v>
      </c>
      <c r="R46" s="30">
        <f>IF($Z$34&gt;3,U48,U61)</f>
        <v>0.0008</v>
      </c>
      <c r="S46" s="2">
        <v>0</v>
      </c>
      <c r="X46" s="30">
        <v>1</v>
      </c>
      <c r="Y46" s="30">
        <v>2</v>
      </c>
      <c r="Z46" s="30">
        <v>3</v>
      </c>
      <c r="AA46" s="30">
        <v>4</v>
      </c>
      <c r="AB46" s="30">
        <v>5</v>
      </c>
      <c r="AC46" s="30">
        <v>6</v>
      </c>
      <c r="AD46" s="30">
        <v>7</v>
      </c>
      <c r="AE46" s="30">
        <v>8</v>
      </c>
    </row>
    <row r="47" spans="13:31" ht="12.75">
      <c r="M47" s="5"/>
      <c r="N47" s="17" t="s">
        <v>1</v>
      </c>
      <c r="O47" s="19">
        <v>21</v>
      </c>
      <c r="P47" s="13"/>
      <c r="Q47" s="32" t="s">
        <v>57</v>
      </c>
      <c r="R47" s="30">
        <f aca="true" t="shared" si="0" ref="R47:R57">IF($Z$34&gt;3,U49,U62)</f>
        <v>-0.0285</v>
      </c>
      <c r="S47" s="2">
        <v>0</v>
      </c>
      <c r="U47" s="54" t="s">
        <v>55</v>
      </c>
      <c r="X47" s="30"/>
      <c r="Y47" s="32">
        <v>160</v>
      </c>
      <c r="Z47" s="32">
        <v>200</v>
      </c>
      <c r="AA47" s="32">
        <v>250</v>
      </c>
      <c r="AB47" s="32">
        <v>315</v>
      </c>
      <c r="AC47" s="32">
        <v>400</v>
      </c>
      <c r="AD47" s="32">
        <v>500</v>
      </c>
      <c r="AE47" s="32">
        <v>630</v>
      </c>
    </row>
    <row r="48" spans="13:31" ht="12.75">
      <c r="M48" s="5"/>
      <c r="N48" s="32" t="s">
        <v>39</v>
      </c>
      <c r="O48" s="47">
        <f>LOOKUP(N34,N35:N42,Q35:Q42)</f>
        <v>-2E-09</v>
      </c>
      <c r="P48" s="13"/>
      <c r="Q48" s="32" t="s">
        <v>58</v>
      </c>
      <c r="R48" s="30">
        <f t="shared" si="0"/>
        <v>4.7447</v>
      </c>
      <c r="S48" s="2">
        <v>4.6691</v>
      </c>
      <c r="T48" s="32" t="s">
        <v>56</v>
      </c>
      <c r="U48" s="30">
        <f>LOOKUP($N$34,$X$46:$AE$46,X48:AE48)</f>
        <v>0.0008</v>
      </c>
      <c r="V48" s="70" t="s">
        <v>68</v>
      </c>
      <c r="W48" s="32" t="s">
        <v>56</v>
      </c>
      <c r="X48" s="32"/>
      <c r="Y48" s="30">
        <v>6E-05</v>
      </c>
      <c r="Z48" s="30">
        <v>6E-05</v>
      </c>
      <c r="AA48" s="30">
        <v>6E-05</v>
      </c>
      <c r="AB48" s="56">
        <v>0.0008</v>
      </c>
      <c r="AC48" s="55">
        <v>6E-05</v>
      </c>
      <c r="AD48" s="55">
        <v>6E-05</v>
      </c>
      <c r="AE48" s="55">
        <v>6E-05</v>
      </c>
    </row>
    <row r="49" spans="13:31" ht="12.75">
      <c r="M49" s="5"/>
      <c r="N49" s="32" t="s">
        <v>40</v>
      </c>
      <c r="O49" s="47">
        <f>LOOKUP(N34,N35:N42,R35:R42)</f>
        <v>7.566512856527667E-07</v>
      </c>
      <c r="P49" s="13"/>
      <c r="Q49" s="32" t="s">
        <v>59</v>
      </c>
      <c r="R49" s="30">
        <f t="shared" si="0"/>
        <v>-0.0028</v>
      </c>
      <c r="S49" s="2">
        <v>0.0044</v>
      </c>
      <c r="T49" s="32" t="s">
        <v>57</v>
      </c>
      <c r="U49" s="30">
        <f aca="true" t="shared" si="1" ref="U49:U59">LOOKUP($N$34,$X$46:$AE$46,X49:AE49)</f>
        <v>-0.0285</v>
      </c>
      <c r="V49" s="70"/>
      <c r="W49" s="32" t="s">
        <v>57</v>
      </c>
      <c r="X49" s="32"/>
      <c r="Y49" s="30">
        <v>-0.0112</v>
      </c>
      <c r="Z49" s="30">
        <v>-0.0112</v>
      </c>
      <c r="AA49" s="30">
        <v>-0.0112</v>
      </c>
      <c r="AB49" s="56">
        <v>-0.0285</v>
      </c>
      <c r="AC49" s="55">
        <v>-0.0112</v>
      </c>
      <c r="AD49" s="55">
        <v>-0.0112</v>
      </c>
      <c r="AE49" s="55">
        <v>-0.0112</v>
      </c>
    </row>
    <row r="50" spans="14:31" ht="12.75">
      <c r="N50" s="32" t="s">
        <v>41</v>
      </c>
      <c r="O50" s="47">
        <f>LOOKUP(N34,N35:N42,S35:S42)</f>
        <v>2E-05</v>
      </c>
      <c r="P50" s="13"/>
      <c r="Q50" s="32" t="s">
        <v>60</v>
      </c>
      <c r="R50" s="30">
        <f t="shared" si="0"/>
        <v>-0.0664</v>
      </c>
      <c r="S50" s="2">
        <v>-0.2579</v>
      </c>
      <c r="T50" s="32" t="s">
        <v>58</v>
      </c>
      <c r="U50" s="30">
        <f t="shared" si="1"/>
        <v>4.7447</v>
      </c>
      <c r="V50" s="70"/>
      <c r="W50" s="32" t="s">
        <v>58</v>
      </c>
      <c r="X50" s="32"/>
      <c r="Y50" s="30">
        <v>4.669</v>
      </c>
      <c r="Z50" s="30">
        <v>4.6691</v>
      </c>
      <c r="AA50" s="30">
        <v>4.6691</v>
      </c>
      <c r="AB50" s="56">
        <v>4.7447</v>
      </c>
      <c r="AC50" s="55">
        <v>4.6691</v>
      </c>
      <c r="AD50" s="55">
        <v>4.6691</v>
      </c>
      <c r="AE50" s="55">
        <v>4.6691</v>
      </c>
    </row>
    <row r="51" spans="14:31" ht="12.75">
      <c r="N51" s="32" t="s">
        <v>5</v>
      </c>
      <c r="O51" s="52">
        <f>LOOKUP(N34,N35:N42,T35:T42)</f>
        <v>2</v>
      </c>
      <c r="P51" s="13"/>
      <c r="Q51" s="32" t="s">
        <v>61</v>
      </c>
      <c r="R51" s="30">
        <f t="shared" si="0"/>
        <v>-25.259</v>
      </c>
      <c r="S51" s="2">
        <v>-20.081</v>
      </c>
      <c r="T51" s="32" t="s">
        <v>59</v>
      </c>
      <c r="U51" s="30">
        <f t="shared" si="1"/>
        <v>-0.0028</v>
      </c>
      <c r="V51" s="70"/>
      <c r="W51" s="32" t="s">
        <v>59</v>
      </c>
      <c r="X51" s="32"/>
      <c r="Y51" s="56">
        <v>0.0013</v>
      </c>
      <c r="Z51" s="56">
        <v>0.0044</v>
      </c>
      <c r="AA51" s="56">
        <v>0.0021</v>
      </c>
      <c r="AB51" s="56">
        <v>-0.0028</v>
      </c>
      <c r="AC51" s="56">
        <v>0.0034</v>
      </c>
      <c r="AD51" s="56">
        <v>0.0031</v>
      </c>
      <c r="AE51" s="56">
        <v>0.0052</v>
      </c>
    </row>
    <row r="52" spans="14:31" ht="12.75">
      <c r="N52" s="32" t="s">
        <v>42</v>
      </c>
      <c r="O52" s="51">
        <f>LOOKUP(N34,N35:N42,U35:U42)</f>
        <v>22.727</v>
      </c>
      <c r="P52" s="13"/>
      <c r="Q52" s="32" t="s">
        <v>62</v>
      </c>
      <c r="R52" s="30">
        <f t="shared" si="0"/>
        <v>-0.0002</v>
      </c>
      <c r="S52" s="2">
        <v>-0.0002</v>
      </c>
      <c r="T52" s="32" t="s">
        <v>60</v>
      </c>
      <c r="U52" s="30">
        <f t="shared" si="1"/>
        <v>-0.0664</v>
      </c>
      <c r="V52" s="70"/>
      <c r="W52" s="32" t="s">
        <v>60</v>
      </c>
      <c r="X52" s="32"/>
      <c r="Y52" s="56">
        <v>-0.1743</v>
      </c>
      <c r="Z52" s="56">
        <v>-0.2579</v>
      </c>
      <c r="AA52" s="56">
        <v>-0.1905</v>
      </c>
      <c r="AB52" s="56">
        <v>-0.0664</v>
      </c>
      <c r="AC52" s="56">
        <v>-0.2144</v>
      </c>
      <c r="AD52" s="56">
        <v>-0.2038</v>
      </c>
      <c r="AE52" s="56">
        <v>-0.2633</v>
      </c>
    </row>
    <row r="53" spans="14:31" ht="12.75">
      <c r="N53" s="32" t="s">
        <v>43</v>
      </c>
      <c r="O53" s="51">
        <f>LOOKUP(N34,N35:N42,V35:V42)</f>
        <v>-116.24</v>
      </c>
      <c r="P53" s="13"/>
      <c r="Q53" s="32" t="s">
        <v>63</v>
      </c>
      <c r="R53" s="30">
        <f t="shared" si="0"/>
        <v>0.0121</v>
      </c>
      <c r="S53" s="2">
        <v>0.0121</v>
      </c>
      <c r="T53" s="32" t="s">
        <v>61</v>
      </c>
      <c r="U53" s="30">
        <f t="shared" si="1"/>
        <v>-25.259</v>
      </c>
      <c r="V53" s="70"/>
      <c r="W53" s="32" t="s">
        <v>61</v>
      </c>
      <c r="X53" s="32"/>
      <c r="Y53" s="56">
        <v>-18.529</v>
      </c>
      <c r="Z53" s="56">
        <v>-20.081</v>
      </c>
      <c r="AA53" s="56">
        <v>-22.545</v>
      </c>
      <c r="AB53" s="56">
        <v>-25.259</v>
      </c>
      <c r="AC53" s="56">
        <v>-26.811</v>
      </c>
      <c r="AD53" s="56">
        <v>-28.896</v>
      </c>
      <c r="AE53" s="56">
        <v>-30.617</v>
      </c>
    </row>
    <row r="54" spans="14:31" ht="12.75">
      <c r="N54" s="49" t="s">
        <v>45</v>
      </c>
      <c r="O54" s="30">
        <v>20</v>
      </c>
      <c r="P54" s="13"/>
      <c r="Q54" s="32" t="s">
        <v>64</v>
      </c>
      <c r="R54" s="30">
        <f t="shared" si="0"/>
        <v>3.8803</v>
      </c>
      <c r="S54" s="2">
        <v>3.8803</v>
      </c>
      <c r="T54" s="32" t="s">
        <v>62</v>
      </c>
      <c r="U54" s="30">
        <f t="shared" si="1"/>
        <v>-0.0002</v>
      </c>
      <c r="V54" s="70"/>
      <c r="W54" s="32" t="s">
        <v>62</v>
      </c>
      <c r="X54" s="32"/>
      <c r="Y54" s="30">
        <v>-0.0002</v>
      </c>
      <c r="Z54" s="30">
        <v>-0.0002</v>
      </c>
      <c r="AA54" s="30">
        <v>-0.0002</v>
      </c>
      <c r="AB54" s="30">
        <v>-0.0002</v>
      </c>
      <c r="AC54" s="30">
        <v>-0.0002</v>
      </c>
      <c r="AD54" s="30">
        <v>-0.0002</v>
      </c>
      <c r="AE54" s="30">
        <v>-0.0002</v>
      </c>
    </row>
    <row r="55" spans="14:31" ht="12.75">
      <c r="N55" s="49" t="s">
        <v>47</v>
      </c>
      <c r="O55" s="30">
        <v>60</v>
      </c>
      <c r="P55" s="13"/>
      <c r="Q55" s="32" t="s">
        <v>65</v>
      </c>
      <c r="R55" s="30">
        <f t="shared" si="0"/>
        <v>0.004</v>
      </c>
      <c r="S55" s="2">
        <v>0.004</v>
      </c>
      <c r="T55" s="32" t="s">
        <v>63</v>
      </c>
      <c r="U55" s="30">
        <f t="shared" si="1"/>
        <v>0.0121</v>
      </c>
      <c r="V55" s="70"/>
      <c r="W55" s="32" t="s">
        <v>63</v>
      </c>
      <c r="X55" s="32"/>
      <c r="Y55" s="30">
        <v>0.0121</v>
      </c>
      <c r="Z55" s="30">
        <v>0.0121</v>
      </c>
      <c r="AA55" s="30">
        <v>0.0121</v>
      </c>
      <c r="AB55" s="30">
        <v>0.0121</v>
      </c>
      <c r="AC55" s="30">
        <v>0.0121</v>
      </c>
      <c r="AD55" s="30">
        <v>0.0121</v>
      </c>
      <c r="AE55" s="30">
        <v>0.0121</v>
      </c>
    </row>
    <row r="56" spans="14:31" ht="12.75">
      <c r="N56" s="32" t="s">
        <v>44</v>
      </c>
      <c r="O56" s="50">
        <f>LOOKUP(N34,N35:N42,W35:W42)</f>
        <v>500</v>
      </c>
      <c r="P56" s="13"/>
      <c r="Q56" s="32" t="s">
        <v>66</v>
      </c>
      <c r="R56" s="30">
        <f t="shared" si="0"/>
        <v>-0.103</v>
      </c>
      <c r="S56" s="2">
        <v>-0.103</v>
      </c>
      <c r="T56" s="32" t="s">
        <v>64</v>
      </c>
      <c r="U56" s="30">
        <f t="shared" si="1"/>
        <v>3.8803</v>
      </c>
      <c r="V56" s="70"/>
      <c r="W56" s="32" t="s">
        <v>64</v>
      </c>
      <c r="X56" s="32"/>
      <c r="Y56" s="30">
        <v>3.8803</v>
      </c>
      <c r="Z56" s="30">
        <v>3.8803</v>
      </c>
      <c r="AA56" s="30">
        <v>3.8803</v>
      </c>
      <c r="AB56" s="30">
        <v>3.8803</v>
      </c>
      <c r="AC56" s="30">
        <v>3.8803</v>
      </c>
      <c r="AD56" s="30">
        <v>3.8803</v>
      </c>
      <c r="AE56" s="30">
        <v>3.8803</v>
      </c>
    </row>
    <row r="57" spans="14:31" ht="12.75">
      <c r="N57" s="32" t="s">
        <v>46</v>
      </c>
      <c r="O57" s="50">
        <f>LOOKUP(N34,N35:N42,X35:X42)</f>
        <v>400</v>
      </c>
      <c r="Q57" s="32" t="s">
        <v>67</v>
      </c>
      <c r="R57" s="30">
        <f t="shared" si="0"/>
        <v>-2.4445</v>
      </c>
      <c r="S57" s="2">
        <v>-1.4445</v>
      </c>
      <c r="T57" s="32" t="s">
        <v>65</v>
      </c>
      <c r="U57" s="30">
        <f t="shared" si="1"/>
        <v>0.004</v>
      </c>
      <c r="V57" s="70"/>
      <c r="W57" s="32" t="s">
        <v>65</v>
      </c>
      <c r="X57" s="32"/>
      <c r="Y57" s="30">
        <v>0.004</v>
      </c>
      <c r="Z57" s="30">
        <v>0.004</v>
      </c>
      <c r="AA57" s="30">
        <v>0.004</v>
      </c>
      <c r="AB57" s="30">
        <v>0.004</v>
      </c>
      <c r="AC57" s="30">
        <v>0.004</v>
      </c>
      <c r="AD57" s="30">
        <v>0.004</v>
      </c>
      <c r="AE57" s="30">
        <v>0.004</v>
      </c>
    </row>
    <row r="58" spans="14:31" ht="15">
      <c r="N58" s="32" t="s">
        <v>48</v>
      </c>
      <c r="O58" s="50">
        <f>IF(C11="",0,10^(LOG(C11)-((O46-O54)/(O55-O54))*(LOG(O57)-LOG(O56))))</f>
        <v>869.8237104163939</v>
      </c>
      <c r="T58" s="32" t="s">
        <v>66</v>
      </c>
      <c r="U58" s="30">
        <f t="shared" si="1"/>
        <v>-0.103</v>
      </c>
      <c r="V58" s="70"/>
      <c r="W58" s="32" t="s">
        <v>66</v>
      </c>
      <c r="X58" s="32"/>
      <c r="Y58" s="30">
        <v>-0.103</v>
      </c>
      <c r="Z58" s="30">
        <v>-0.103</v>
      </c>
      <c r="AA58" s="30">
        <v>-0.103</v>
      </c>
      <c r="AB58" s="30">
        <v>-0.103</v>
      </c>
      <c r="AC58" s="30">
        <v>-0.103</v>
      </c>
      <c r="AD58" s="30">
        <v>-0.103</v>
      </c>
      <c r="AE58" s="30">
        <v>-0.103</v>
      </c>
    </row>
    <row r="59" spans="17:31" ht="12.75">
      <c r="Q59" s="32" t="s">
        <v>37</v>
      </c>
      <c r="R59" s="30">
        <f>IF(Z34&gt;3,R46*C13^2+R47*C13+R48,R46*(-C13)^2+R47*(-C13)+R48)</f>
        <v>4.5397</v>
      </c>
      <c r="T59" s="32" t="s">
        <v>67</v>
      </c>
      <c r="U59" s="30">
        <f t="shared" si="1"/>
        <v>-2.4445</v>
      </c>
      <c r="V59" s="70"/>
      <c r="W59" s="32" t="s">
        <v>67</v>
      </c>
      <c r="X59" s="32"/>
      <c r="Y59" s="30">
        <v>-1.4445</v>
      </c>
      <c r="Z59" s="30">
        <v>-1.4445</v>
      </c>
      <c r="AA59" s="30">
        <v>-1.4445</v>
      </c>
      <c r="AB59" s="56">
        <v>-2.4445</v>
      </c>
      <c r="AC59" s="56">
        <v>-2.4445</v>
      </c>
      <c r="AD59" s="56">
        <v>-3.4445</v>
      </c>
      <c r="AE59" s="56">
        <v>-3.9445</v>
      </c>
    </row>
    <row r="60" spans="17:18" ht="12.75">
      <c r="Q60" s="32" t="s">
        <v>5</v>
      </c>
      <c r="R60" s="30">
        <f>IF(Z34&gt;3,R49*C13^2+R50*C13+R51,R49*(-C13)^2+R50*(-C13)+R51)</f>
        <v>-26.203</v>
      </c>
    </row>
    <row r="61" spans="17:31" ht="12.75">
      <c r="Q61" s="32" t="s">
        <v>70</v>
      </c>
      <c r="R61" s="30">
        <f>R52*O46^2+R53*O46+R54</f>
        <v>4.0588</v>
      </c>
      <c r="T61" s="32" t="s">
        <v>56</v>
      </c>
      <c r="U61" s="30">
        <f>LOOKUP($N$34,$X$46:$AE$46,X61:AE61)</f>
        <v>0</v>
      </c>
      <c r="V61" s="70" t="s">
        <v>69</v>
      </c>
      <c r="W61" s="32" t="s">
        <v>56</v>
      </c>
      <c r="X61" s="32"/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</row>
    <row r="62" spans="17:31" ht="12.75">
      <c r="Q62" s="32" t="s">
        <v>71</v>
      </c>
      <c r="R62" s="30">
        <f>R55*O46^2+R56*O46+R57</f>
        <v>-1.1494999999999997</v>
      </c>
      <c r="T62" s="32" t="s">
        <v>57</v>
      </c>
      <c r="U62" s="30">
        <f aca="true" t="shared" si="2" ref="U62:U72">LOOKUP($N$34,$X$46:$AE$46,X62:AE62)</f>
        <v>0</v>
      </c>
      <c r="V62" s="70"/>
      <c r="W62" s="32" t="s">
        <v>57</v>
      </c>
      <c r="X62" s="32"/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</row>
    <row r="63" spans="17:31" ht="15">
      <c r="Q63" s="59" t="s">
        <v>51</v>
      </c>
      <c r="R63" s="67">
        <f>IF($C$11=0,"",IF($N$34=$N$35,"",EXP(($R$60-$R$62+$R$59*LN($C$11))/$R$61)))</f>
        <v>3.6839639102288766</v>
      </c>
      <c r="T63" s="32" t="s">
        <v>58</v>
      </c>
      <c r="U63" s="30">
        <f t="shared" si="2"/>
        <v>-3.1778</v>
      </c>
      <c r="V63" s="70"/>
      <c r="W63" s="32" t="s">
        <v>58</v>
      </c>
      <c r="X63" s="32"/>
      <c r="Y63" s="30">
        <v>-3.1778</v>
      </c>
      <c r="Z63" s="30">
        <v>-3.1778</v>
      </c>
      <c r="AA63" s="30">
        <v>-3.1778</v>
      </c>
      <c r="AB63" s="30">
        <v>-3.1778</v>
      </c>
      <c r="AC63" s="30">
        <v>-3.1778</v>
      </c>
      <c r="AD63" s="30">
        <v>-3.1778</v>
      </c>
      <c r="AE63" s="30">
        <v>-3.1778</v>
      </c>
    </row>
    <row r="64" spans="15:31" ht="12.75">
      <c r="O64" s="69" t="s">
        <v>76</v>
      </c>
      <c r="P64" s="69"/>
      <c r="Q64" s="54"/>
      <c r="T64" s="32" t="s">
        <v>59</v>
      </c>
      <c r="U64" s="30">
        <f t="shared" si="2"/>
        <v>-0.0011</v>
      </c>
      <c r="V64" s="70"/>
      <c r="W64" s="32" t="s">
        <v>59</v>
      </c>
      <c r="X64" s="32"/>
      <c r="Y64" s="56">
        <v>0.0032</v>
      </c>
      <c r="Z64" s="56">
        <v>0.013</v>
      </c>
      <c r="AA64" s="56">
        <v>0.0009</v>
      </c>
      <c r="AB64" s="56">
        <v>-0.0011</v>
      </c>
      <c r="AC64" s="56">
        <v>0.003</v>
      </c>
      <c r="AD64" s="56">
        <v>0.0046</v>
      </c>
      <c r="AE64" s="56">
        <v>0.0039</v>
      </c>
    </row>
    <row r="65" spans="15:31" ht="15">
      <c r="O65" s="17" t="s">
        <v>6</v>
      </c>
      <c r="P65" s="17" t="s">
        <v>72</v>
      </c>
      <c r="Q65" s="59" t="s">
        <v>73</v>
      </c>
      <c r="R65" s="59" t="s">
        <v>74</v>
      </c>
      <c r="T65" s="32" t="s">
        <v>60</v>
      </c>
      <c r="U65" s="30">
        <f t="shared" si="2"/>
        <v>-0.0853</v>
      </c>
      <c r="V65" s="70"/>
      <c r="W65" s="32" t="s">
        <v>60</v>
      </c>
      <c r="X65" s="32"/>
      <c r="Y65" s="56">
        <v>-0.2078</v>
      </c>
      <c r="Z65" s="56">
        <v>-0.4308</v>
      </c>
      <c r="AA65" s="56">
        <v>-0.1593</v>
      </c>
      <c r="AB65" s="56">
        <v>-0.0853</v>
      </c>
      <c r="AC65" s="56">
        <v>-0.1859</v>
      </c>
      <c r="AD65" s="56">
        <v>-0.2368</v>
      </c>
      <c r="AE65" s="56">
        <v>-0.2213</v>
      </c>
    </row>
    <row r="66" spans="15:31" ht="12.75">
      <c r="O66" s="21"/>
      <c r="P66" s="21"/>
      <c r="Q66" s="30"/>
      <c r="R66" s="30"/>
      <c r="T66" s="32" t="s">
        <v>61</v>
      </c>
      <c r="U66" s="30">
        <f t="shared" si="2"/>
        <v>26.904</v>
      </c>
      <c r="V66" s="70"/>
      <c r="W66" s="32" t="s">
        <v>61</v>
      </c>
      <c r="X66" s="32"/>
      <c r="Y66" s="56">
        <v>24.834</v>
      </c>
      <c r="Z66" s="56">
        <v>26.007</v>
      </c>
      <c r="AA66" s="56">
        <v>26.045</v>
      </c>
      <c r="AB66" s="56">
        <v>26.904</v>
      </c>
      <c r="AC66" s="56">
        <v>29.014</v>
      </c>
      <c r="AD66" s="56">
        <v>30.827</v>
      </c>
      <c r="AE66" s="56">
        <v>32.231</v>
      </c>
    </row>
    <row r="67" spans="15:31" ht="12.75">
      <c r="O67" s="24">
        <v>160</v>
      </c>
      <c r="P67" s="58">
        <f>((O67/2)^2)*PI()/1000000</f>
        <v>0.020106192982974676</v>
      </c>
      <c r="Q67" s="30">
        <v>0.6</v>
      </c>
      <c r="R67" s="30">
        <v>1.03</v>
      </c>
      <c r="T67" s="32" t="s">
        <v>62</v>
      </c>
      <c r="U67" s="30">
        <f t="shared" si="2"/>
        <v>0.0003</v>
      </c>
      <c r="V67" s="70"/>
      <c r="W67" s="32" t="s">
        <v>62</v>
      </c>
      <c r="X67" s="32"/>
      <c r="Y67" s="30">
        <v>0.0003</v>
      </c>
      <c r="Z67" s="30">
        <v>0.0003</v>
      </c>
      <c r="AA67" s="30">
        <v>0.0003</v>
      </c>
      <c r="AB67" s="30">
        <v>0.0003</v>
      </c>
      <c r="AC67" s="30">
        <v>0.0003</v>
      </c>
      <c r="AD67" s="30">
        <v>0.0003</v>
      </c>
      <c r="AE67" s="30">
        <v>0.0003</v>
      </c>
    </row>
    <row r="68" spans="15:31" ht="12.75">
      <c r="O68" s="25">
        <v>200</v>
      </c>
      <c r="P68" s="58">
        <f aca="true" t="shared" si="3" ref="P68:P73">((O68/2)^2)*PI()/1000000</f>
        <v>0.031415926535897934</v>
      </c>
      <c r="Q68" s="30">
        <v>0.7</v>
      </c>
      <c r="R68" s="30">
        <v>1.03</v>
      </c>
      <c r="T68" s="32" t="s">
        <v>63</v>
      </c>
      <c r="U68" s="30">
        <f t="shared" si="2"/>
        <v>-0.0225</v>
      </c>
      <c r="V68" s="70"/>
      <c r="W68" s="32" t="s">
        <v>63</v>
      </c>
      <c r="X68" s="32"/>
      <c r="Y68" s="30">
        <v>-0.0225</v>
      </c>
      <c r="Z68" s="30">
        <v>-0.0225</v>
      </c>
      <c r="AA68" s="30">
        <v>-0.0225</v>
      </c>
      <c r="AB68" s="30">
        <v>-0.0225</v>
      </c>
      <c r="AC68" s="30">
        <v>-0.0225</v>
      </c>
      <c r="AD68" s="30">
        <v>-0.0225</v>
      </c>
      <c r="AE68" s="30">
        <v>-0.0225</v>
      </c>
    </row>
    <row r="69" spans="15:31" ht="12.75">
      <c r="O69" s="25">
        <v>250</v>
      </c>
      <c r="P69" s="58">
        <f t="shared" si="3"/>
        <v>0.04908738521234052</v>
      </c>
      <c r="Q69" s="30">
        <v>0.8</v>
      </c>
      <c r="R69" s="30">
        <v>1.03</v>
      </c>
      <c r="T69" s="32" t="s">
        <v>64</v>
      </c>
      <c r="U69" s="30">
        <f t="shared" si="2"/>
        <v>-3.3945</v>
      </c>
      <c r="V69" s="70"/>
      <c r="W69" s="32" t="s">
        <v>64</v>
      </c>
      <c r="X69" s="32"/>
      <c r="Y69" s="30">
        <v>-3.3945</v>
      </c>
      <c r="Z69" s="30">
        <v>-3.3945</v>
      </c>
      <c r="AA69" s="30">
        <v>-3.3945</v>
      </c>
      <c r="AB69" s="30">
        <v>-3.3945</v>
      </c>
      <c r="AC69" s="30">
        <v>-3.3945</v>
      </c>
      <c r="AD69" s="30">
        <v>-3.3945</v>
      </c>
      <c r="AE69" s="30">
        <v>-3.3945</v>
      </c>
    </row>
    <row r="70" spans="15:31" ht="12.75">
      <c r="O70" s="25">
        <v>315</v>
      </c>
      <c r="P70" s="58">
        <f t="shared" si="3"/>
        <v>0.07793113276311181</v>
      </c>
      <c r="Q70" s="30">
        <v>0.95</v>
      </c>
      <c r="R70" s="30">
        <v>1.03</v>
      </c>
      <c r="T70" s="32" t="s">
        <v>65</v>
      </c>
      <c r="U70" s="30">
        <f t="shared" si="2"/>
        <v>0.0063</v>
      </c>
      <c r="V70" s="70"/>
      <c r="W70" s="32" t="s">
        <v>65</v>
      </c>
      <c r="X70" s="32"/>
      <c r="Y70" s="30">
        <v>0.0063</v>
      </c>
      <c r="Z70" s="30">
        <v>0.0063</v>
      </c>
      <c r="AA70" s="30">
        <v>0.0063</v>
      </c>
      <c r="AB70" s="30">
        <v>0.0063</v>
      </c>
      <c r="AC70" s="30">
        <v>0.0063</v>
      </c>
      <c r="AD70" s="30">
        <v>0.0063</v>
      </c>
      <c r="AE70" s="30">
        <v>0.0063</v>
      </c>
    </row>
    <row r="71" spans="15:31" ht="12.75">
      <c r="O71" s="24">
        <v>400</v>
      </c>
      <c r="P71" s="58">
        <f t="shared" si="3"/>
        <v>0.12566370614359174</v>
      </c>
      <c r="Q71" s="30">
        <v>1.1397</v>
      </c>
      <c r="R71" s="30">
        <v>1.03</v>
      </c>
      <c r="T71" s="32" t="s">
        <v>66</v>
      </c>
      <c r="U71" s="30">
        <f t="shared" si="2"/>
        <v>-0.8865</v>
      </c>
      <c r="V71" s="70"/>
      <c r="W71" s="32" t="s">
        <v>66</v>
      </c>
      <c r="X71" s="32"/>
      <c r="Y71" s="30">
        <v>-0.8865</v>
      </c>
      <c r="Z71" s="30">
        <v>-0.8865</v>
      </c>
      <c r="AA71" s="30">
        <v>-0.8865</v>
      </c>
      <c r="AB71" s="30">
        <v>-0.8865</v>
      </c>
      <c r="AC71" s="30">
        <v>-0.8865</v>
      </c>
      <c r="AD71" s="30">
        <v>-0.8865</v>
      </c>
      <c r="AE71" s="30">
        <v>-0.8865</v>
      </c>
    </row>
    <row r="72" spans="15:31" ht="12.75">
      <c r="O72" s="24">
        <v>500</v>
      </c>
      <c r="P72" s="58">
        <f t="shared" si="3"/>
        <v>0.19634954084936207</v>
      </c>
      <c r="Q72" s="30">
        <v>1.3022</v>
      </c>
      <c r="R72" s="30">
        <v>1.03</v>
      </c>
      <c r="T72" s="32" t="s">
        <v>67</v>
      </c>
      <c r="U72" s="30">
        <f t="shared" si="2"/>
        <v>38.473</v>
      </c>
      <c r="V72" s="70"/>
      <c r="W72" s="32" t="s">
        <v>67</v>
      </c>
      <c r="X72" s="32"/>
      <c r="Y72" s="30">
        <v>39.273</v>
      </c>
      <c r="Z72" s="30">
        <v>39.273</v>
      </c>
      <c r="AA72" s="56">
        <v>37.973</v>
      </c>
      <c r="AB72" s="56">
        <v>38.473</v>
      </c>
      <c r="AC72" s="56">
        <v>38.473</v>
      </c>
      <c r="AD72" s="56">
        <v>40.073</v>
      </c>
      <c r="AE72" s="56">
        <v>40.873</v>
      </c>
    </row>
    <row r="73" spans="15:18" ht="13.5" thickBot="1">
      <c r="O73" s="60">
        <v>630</v>
      </c>
      <c r="P73" s="61">
        <f t="shared" si="3"/>
        <v>0.31172453105244724</v>
      </c>
      <c r="Q73" s="62">
        <v>1.6171</v>
      </c>
      <c r="R73" s="62">
        <v>1.03</v>
      </c>
    </row>
    <row r="74" spans="14:18" ht="13.5" thickBot="1">
      <c r="N74" s="54" t="s">
        <v>75</v>
      </c>
      <c r="O74" s="63">
        <f>LOOKUP(N34,N35:N42,O35:O42)</f>
        <v>315</v>
      </c>
      <c r="P74" s="64">
        <f>LOOKUP($N$34,$N$35:$N$42,P66:P73)</f>
        <v>0.07793113276311181</v>
      </c>
      <c r="Q74" s="64">
        <f>LOOKUP($N$34,$N$35:$N$42,Q66:Q73)</f>
        <v>0.95</v>
      </c>
      <c r="R74" s="65">
        <f>LOOKUP($N$34,$N$35:$N$42,R66:R73)</f>
        <v>1.03</v>
      </c>
    </row>
  </sheetData>
  <sheetProtection password="F238" sheet="1" objects="1" scenarios="1" selectLockedCells="1"/>
  <mergeCells count="7">
    <mergeCell ref="O64:P64"/>
    <mergeCell ref="V48:V59"/>
    <mergeCell ref="V61:V72"/>
    <mergeCell ref="AA33:AB33"/>
    <mergeCell ref="N44:O44"/>
    <mergeCell ref="K3:L3"/>
    <mergeCell ref="Q44:R44"/>
  </mergeCells>
  <conditionalFormatting sqref="C27">
    <cfRule type="cellIs" priority="1" dxfId="0" operator="greaterThan" stopIfTrue="1">
      <formula>40</formula>
    </cfRule>
  </conditionalFormatting>
  <conditionalFormatting sqref="C30">
    <cfRule type="cellIs" priority="2" dxfId="1" operator="equal" stopIfTrue="1">
      <formula>"-"</formula>
    </cfRule>
    <cfRule type="cellIs" priority="3" dxfId="0" operator="greaterThanOrEqual" stopIfTrue="1">
      <formula>0.2</formula>
    </cfRule>
  </conditionalFormatting>
  <dataValidations count="2">
    <dataValidation type="whole" operator="greaterThanOrEqual" allowBlank="1" showInputMessage="1" showErrorMessage="1" sqref="C12">
      <formula1>0</formula1>
    </dataValidation>
    <dataValidation type="whole" operator="greaterThanOrEqual" allowBlank="1" showInputMessage="1" showErrorMessage="1" errorTitle="Valori ammessi" error="La portata d'aria deve essere positiva" sqref="C11">
      <formula1>0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93" r:id="rId3"/>
  <ignoredErrors>
    <ignoredError sqref="AA39:AA42" numberStoredAsText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Tecnoventi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R41</dc:title>
  <dc:subject/>
  <dc:creator>Claudio ing. Sponchioni</dc:creator>
  <cp:keywords/>
  <dc:description/>
  <cp:lastModifiedBy>Utente</cp:lastModifiedBy>
  <cp:lastPrinted>2007-11-07T13:11:56Z</cp:lastPrinted>
  <dcterms:created xsi:type="dcterms:W3CDTF">2007-09-11T09:32:36Z</dcterms:created>
  <dcterms:modified xsi:type="dcterms:W3CDTF">2016-01-28T14:07:14Z</dcterms:modified>
  <cp:category/>
  <cp:version/>
  <cp:contentType/>
  <cp:contentStatus/>
</cp:coreProperties>
</file>